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<sst xmlns="http://schemas.openxmlformats.org/spreadsheetml/2006/main" count="77" uniqueCount="75">
  <si>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</si>
  <si>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</si>
  <si>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</si>
  <si>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</si>
  <si>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</si>
  <si>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</si>
  <si>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</si>
  <si>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</si>
  <si>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</si>
  <si>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</si>
  <si>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</si>
  <si>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</si>
  <si>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</si>
  <si>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</si>
  <si>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</si>
  <si>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</si>
  <si>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</si>
  <si>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</si>
  <si>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</si>
  <si>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</si>
  <si>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</si>
  <si>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</si>
  <si>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</si>
  <si>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</si>
  <si>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</si>
  <si>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</si>
  <si>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</si>
  <si>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</si>
  <si>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</si>
  <si>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</si>
  <si>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</si>
  <si>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</si>
  <si>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</si>
  <si>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</si>
  <si>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</si>
  <si>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</si>
  <si>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</si>
  <si>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</si>
  <si>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</si>
  <si>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</si>
  <si>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</si>
  <si>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</si>
  <si>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</si>
  <si>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</si>
  <si>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</si>
  <si>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</si>
  <si>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</si>
  <si>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</si>
  <si>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</si>
  <si>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</si>
  <si>
    <t>OLLA de NÚRIA</t>
  </si>
  <si>
    <t>Núria (Inici)</t>
  </si>
  <si>
    <t>alberg pic de l'aliga</t>
  </si>
  <si>
    <t>pic de l'aliga</t>
  </si>
  <si>
    <t>puig de la fontnegra</t>
  </si>
  <si>
    <t>pic de la fossa del gegant</t>
  </si>
  <si>
    <t>coll nou creus</t>
  </si>
  <si>
    <t>Pic Nou creus</t>
  </si>
  <si>
    <t>coll nou fonts</t>
  </si>
  <si>
    <t>pic nou fonts</t>
  </si>
  <si>
    <t xml:space="preserve">coll </t>
  </si>
  <si>
    <t>pic eina</t>
  </si>
  <si>
    <t>coll eina</t>
  </si>
  <si>
    <t>pic finestrelles</t>
  </si>
  <si>
    <t>coll finestrelles</t>
  </si>
  <si>
    <t xml:space="preserve">pic del segre </t>
  </si>
  <si>
    <t>puigmal petit</t>
  </si>
  <si>
    <t>collada d'er</t>
  </si>
  <si>
    <t>puigmal</t>
  </si>
  <si>
    <t>Núria (Final)</t>
  </si>
  <si>
    <t>b</t>
  </si>
  <si>
    <t>130. Parada de 30 minuts.Passem collet Font negra.</t>
  </si>
  <si>
    <t>205. Passem pel Cim del Rocs blancs, Cim Baix de les arques i Cim alt de les Arques.</t>
  </si>
  <si>
    <t>380. Puig del coll d'eina. Puig de Núria.</t>
  </si>
  <si>
    <t xml:space="preserve">  -   . Parada de 20 miuts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</si>
</sst>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800</c:v>
                </c:pt>
                <c:pt idx="1">
                  <c:v>1675</c:v>
                </c:pt>
                <c:pt idx="2">
                  <c:v>3050</c:v>
                </c:pt>
                <c:pt idx="3">
                  <c:v>4800</c:v>
                </c:pt>
                <c:pt idx="4">
                  <c:v>4950</c:v>
                </c:pt>
                <c:pt idx="5">
                  <c:v>5575</c:v>
                </c:pt>
                <c:pt idx="6">
                  <c:v>6075</c:v>
                </c:pt>
                <c:pt idx="7">
                  <c:v>6825</c:v>
                </c:pt>
                <c:pt idx="8">
                  <c:v>7325</c:v>
                </c:pt>
                <c:pt idx="9">
                  <c:v>7825</c:v>
                </c:pt>
                <c:pt idx="10">
                  <c:v>8475</c:v>
                </c:pt>
                <c:pt idx="11">
                  <c:v>9975</c:v>
                </c:pt>
                <c:pt idx="12">
                  <c:v>11025</c:v>
                </c:pt>
                <c:pt idx="13">
                  <c:v>12275</c:v>
                </c:pt>
                <c:pt idx="14">
                  <c:v>13125</c:v>
                </c:pt>
                <c:pt idx="15">
                  <c:v>13375</c:v>
                </c:pt>
                <c:pt idx="16">
                  <c:v>14000</c:v>
                </c:pt>
                <c:pt idx="17">
                  <c:v>17750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2122</c:v>
                </c:pt>
                <c:pt idx="1">
                  <c:v>2428</c:v>
                </c:pt>
                <c:pt idx="2">
                  <c:v>2722</c:v>
                </c:pt>
                <c:pt idx="3">
                  <c:v>2801</c:v>
                </c:pt>
                <c:pt idx="4">
                  <c:v>2775</c:v>
                </c:pt>
                <c:pt idx="5">
                  <c:v>2799</c:v>
                </c:pt>
                <c:pt idx="6">
                  <c:v>2658</c:v>
                </c:pt>
                <c:pt idx="7">
                  <c:v>2861</c:v>
                </c:pt>
                <c:pt idx="8">
                  <c:v>2734</c:v>
                </c:pt>
                <c:pt idx="9">
                  <c:v>2786</c:v>
                </c:pt>
                <c:pt idx="10">
                  <c:v>2684</c:v>
                </c:pt>
                <c:pt idx="11">
                  <c:v>2829</c:v>
                </c:pt>
                <c:pt idx="12">
                  <c:v>2604</c:v>
                </c:pt>
                <c:pt idx="13">
                  <c:v>2848</c:v>
                </c:pt>
                <c:pt idx="14">
                  <c:v>2812</c:v>
                </c:pt>
                <c:pt idx="15">
                  <c:v>2760</c:v>
                </c:pt>
                <c:pt idx="16">
                  <c:v>2910</c:v>
                </c:pt>
                <c:pt idx="17">
                  <c:v>1960</c:v>
                </c:pt>
              </c:numCache>
            </c:numRef>
          </c:yVal>
          <c:smooth val="1"/>
        </c:ser>
        <c:axId val="40409461"/>
        <c:axId val="28140830"/>
      </c:scatterChart>
      <c:val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crossBetween val="midCat"/>
        <c:dispUnits/>
      </c:val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90" zoomScaleNormal="90" workbookViewId="0" topLeftCell="A1">
      <selection activeCell="J23" sqref="J2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6" t="s">
        <v>0</v>
      </c>
      <c r="C3" s="58" t="s">
        <v>50</v>
      </c>
      <c r="D3" s="59"/>
      <c r="E3" s="59"/>
      <c r="F3" s="59"/>
      <c r="G3" s="59"/>
      <c r="H3" s="59"/>
      <c r="I3" s="60"/>
    </row>
    <row r="4" spans="2:9" ht="15" customHeight="1" thickBot="1">
      <c r="B4" s="27"/>
      <c r="C4" s="38"/>
      <c r="G4" s="38"/>
      <c r="H4" s="38"/>
      <c r="I4" s="38"/>
    </row>
    <row r="5" spans="2:14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23</v>
      </c>
      <c r="J5" s="5" t="s">
        <v>7</v>
      </c>
      <c r="K5" s="35" t="s">
        <v>20</v>
      </c>
      <c r="L5" s="36" t="s">
        <v>21</v>
      </c>
      <c r="M5" s="36" t="s">
        <v>22</v>
      </c>
      <c r="N5" s="37" t="s">
        <v>6</v>
      </c>
    </row>
    <row r="6" spans="2:14" ht="19.5" customHeight="1">
      <c r="B6" s="10" t="s">
        <v>51</v>
      </c>
      <c r="C6" s="45">
        <v>1960</v>
      </c>
      <c r="D6" s="11" t="s">
        <v>52</v>
      </c>
      <c r="E6" s="12">
        <v>2122</v>
      </c>
      <c r="F6" s="13">
        <v>148</v>
      </c>
      <c r="G6" s="14">
        <f>E6-C6</f>
        <v>162</v>
      </c>
      <c r="H6" s="12">
        <v>800</v>
      </c>
      <c r="I6" s="14">
        <f>IF(G6&gt;=0,M6*(100+Instruccions!B33)/100,(M6*2/3)*(100+Instruccions!B33)/100)</f>
        <v>34.92</v>
      </c>
      <c r="J6" s="54">
        <v>30</v>
      </c>
      <c r="K6" s="39">
        <f>(ABS(G6)/Instruccions!B31*60)</f>
        <v>24.3</v>
      </c>
      <c r="L6" s="40">
        <f>(H6/Instruccions!B32*60)</f>
        <v>9.6</v>
      </c>
      <c r="M6" s="40">
        <f>IF(K6&gt;=L6,K6+(L6/2),L6+(K6/2))</f>
        <v>29.1</v>
      </c>
      <c r="N6" s="41">
        <f>H6</f>
        <v>800</v>
      </c>
    </row>
    <row r="7" spans="2:14" ht="19.5" customHeight="1">
      <c r="B7" s="15" t="str">
        <f>IF(D6="","",IF(ISERROR(SEARCH("Final",D6))=TRUE,D6,""))</f>
        <v>alberg pic de l'aliga</v>
      </c>
      <c r="C7" s="16">
        <f aca="true" t="shared" si="0" ref="C7:C15">IF(B7="",0,E6)</f>
        <v>2122</v>
      </c>
      <c r="D7" s="11" t="s">
        <v>53</v>
      </c>
      <c r="E7" s="12">
        <v>2428</v>
      </c>
      <c r="F7" s="13">
        <v>41</v>
      </c>
      <c r="G7" s="14">
        <f>E7-C7</f>
        <v>306</v>
      </c>
      <c r="H7" s="12">
        <v>875</v>
      </c>
      <c r="I7" s="14">
        <f>IF(G7&gt;=0,M7*(100+Instruccions!B34)/100,(M7*2/3)*(100+Instruccions!B34)/100)</f>
        <v>51.15</v>
      </c>
      <c r="J7" s="54">
        <v>70</v>
      </c>
      <c r="K7" s="39">
        <f>(ABS(G7)/Instruccions!B31*60)</f>
        <v>45.9</v>
      </c>
      <c r="L7" s="40">
        <f>(H7/Instruccions!B32*60)</f>
        <v>10.5</v>
      </c>
      <c r="M7" s="40">
        <f aca="true" t="shared" si="1" ref="M7:M25">IF(K7&gt;=L7,K7+(L7/2),L7+(K7/2))</f>
        <v>51.15</v>
      </c>
      <c r="N7" s="41">
        <f>IF(H7=0,NA(),H7+N6)</f>
        <v>1675</v>
      </c>
    </row>
    <row r="8" spans="2:14" ht="19.5" customHeight="1">
      <c r="B8" s="15" t="str">
        <f aca="true" t="shared" si="2" ref="B8:B25">IF(D7="","",IF(ISERROR(SEARCH("Final",D7))=TRUE,D7,""))</f>
        <v>pic de l'aliga</v>
      </c>
      <c r="C8" s="16">
        <f t="shared" si="0"/>
        <v>2428</v>
      </c>
      <c r="D8" s="17" t="s">
        <v>54</v>
      </c>
      <c r="E8" s="18">
        <v>2722</v>
      </c>
      <c r="F8" s="19">
        <v>61</v>
      </c>
      <c r="G8" s="20">
        <f aca="true" t="shared" si="3" ref="G8:G25">E8-C8</f>
        <v>294</v>
      </c>
      <c r="H8" s="18">
        <v>1375</v>
      </c>
      <c r="I8" s="20">
        <f>IF(G8&gt;=0,M8*(100+Instruccions!B33)/100,(M8*2/3)*(100+Instruccions!B33)/100)</f>
        <v>62.82</v>
      </c>
      <c r="J8" s="55" t="s">
        <v>71</v>
      </c>
      <c r="K8" s="39">
        <f>(ABS(G8)/Instruccions!B31*60)</f>
        <v>44.1</v>
      </c>
      <c r="L8" s="40">
        <f>(H8/Instruccions!B32*60)</f>
        <v>16.5</v>
      </c>
      <c r="M8" s="40">
        <f t="shared" si="1"/>
        <v>52.35</v>
      </c>
      <c r="N8" s="41">
        <f aca="true" t="shared" si="4" ref="N8:N25">IF(H8=0,NA(),H8+N7)</f>
        <v>3050</v>
      </c>
    </row>
    <row r="9" spans="2:14" ht="19.5" customHeight="1">
      <c r="B9" s="15" t="str">
        <f t="shared" si="2"/>
        <v>puig de la fontnegra</v>
      </c>
      <c r="C9" s="16">
        <f t="shared" si="0"/>
        <v>2722</v>
      </c>
      <c r="D9" s="17" t="s">
        <v>55</v>
      </c>
      <c r="E9" s="18">
        <v>2801</v>
      </c>
      <c r="F9" s="19">
        <v>26</v>
      </c>
      <c r="G9" s="20">
        <f t="shared" si="3"/>
        <v>79</v>
      </c>
      <c r="H9" s="18">
        <v>1750</v>
      </c>
      <c r="I9" s="20">
        <f>IF(G9&gt;=0,M9*(100+Instruccions!B33)/100,(M9*2/3)*(100+Instruccions!B33)/100)</f>
        <v>32.31</v>
      </c>
      <c r="J9" s="55" t="s">
        <v>72</v>
      </c>
      <c r="K9" s="39">
        <f>(ABS(G9)/Instruccions!B31*60)</f>
        <v>11.850000000000001</v>
      </c>
      <c r="L9" s="40">
        <f>(H9/Instruccions!B32*60)</f>
        <v>21</v>
      </c>
      <c r="M9" s="40">
        <f t="shared" si="1"/>
        <v>26.925</v>
      </c>
      <c r="N9" s="41">
        <f t="shared" si="4"/>
        <v>4800</v>
      </c>
    </row>
    <row r="10" spans="2:14" ht="19.5" customHeight="1">
      <c r="B10" s="15" t="str">
        <f t="shared" si="2"/>
        <v>pic de la fossa del gegant</v>
      </c>
      <c r="C10" s="16">
        <f t="shared" si="0"/>
        <v>2801</v>
      </c>
      <c r="D10" s="17" t="s">
        <v>56</v>
      </c>
      <c r="E10" s="18">
        <v>2775</v>
      </c>
      <c r="F10" s="19">
        <v>260</v>
      </c>
      <c r="G10" s="20">
        <f t="shared" si="3"/>
        <v>-26</v>
      </c>
      <c r="H10" s="18">
        <v>150</v>
      </c>
      <c r="I10" s="20">
        <f>IF(G10&gt;=0,M10*(100+Instruccions!B33)/100,(M10*2/3)*(100+Instruccions!B33)/100)</f>
        <v>3.8400000000000007</v>
      </c>
      <c r="J10" s="55">
        <v>220</v>
      </c>
      <c r="K10" s="39">
        <f>(ABS(G10)/Instruccions!B31*60)</f>
        <v>3.9000000000000004</v>
      </c>
      <c r="L10" s="40">
        <f>(H10/Instruccions!B32*60)</f>
        <v>1.7999999999999998</v>
      </c>
      <c r="M10" s="40">
        <f t="shared" si="1"/>
        <v>4.800000000000001</v>
      </c>
      <c r="N10" s="41">
        <f t="shared" si="4"/>
        <v>4950</v>
      </c>
    </row>
    <row r="11" spans="2:14" ht="19.5" customHeight="1">
      <c r="B11" s="15" t="str">
        <f t="shared" si="2"/>
        <v>coll nou creus</v>
      </c>
      <c r="C11" s="16">
        <f t="shared" si="0"/>
        <v>2775</v>
      </c>
      <c r="D11" s="17" t="s">
        <v>57</v>
      </c>
      <c r="E11" s="18">
        <v>2799</v>
      </c>
      <c r="F11" s="19">
        <v>280</v>
      </c>
      <c r="G11" s="20">
        <f t="shared" si="3"/>
        <v>24</v>
      </c>
      <c r="H11" s="18">
        <v>625</v>
      </c>
      <c r="I11" s="20">
        <f>IF(G11&gt;=0,M11*(100+Instruccions!B33)/100,(M11*2/3)*(100+Instruccions!B33)/100)</f>
        <v>11.16</v>
      </c>
      <c r="J11" s="55">
        <v>240</v>
      </c>
      <c r="K11" s="39">
        <f>(ABS(G11)/Instruccions!B31*60)</f>
        <v>3.5999999999999996</v>
      </c>
      <c r="L11" s="40">
        <f>(H11/Instruccions!B32*60)</f>
        <v>7.5</v>
      </c>
      <c r="M11" s="40">
        <f t="shared" si="1"/>
        <v>9.3</v>
      </c>
      <c r="N11" s="41">
        <f t="shared" si="4"/>
        <v>5575</v>
      </c>
    </row>
    <row r="12" spans="2:14" ht="19.5" customHeight="1">
      <c r="B12" s="15" t="str">
        <f t="shared" si="2"/>
        <v>Pic Nou creus</v>
      </c>
      <c r="C12" s="16">
        <f t="shared" si="0"/>
        <v>2799</v>
      </c>
      <c r="D12" s="17" t="s">
        <v>58</v>
      </c>
      <c r="E12" s="18">
        <v>2658</v>
      </c>
      <c r="F12" s="19">
        <v>312</v>
      </c>
      <c r="G12" s="20">
        <f t="shared" si="3"/>
        <v>-141</v>
      </c>
      <c r="H12" s="18">
        <v>500</v>
      </c>
      <c r="I12" s="20">
        <f>IF(G12&gt;=0,M12*(100+Instruccions!B33)/100,(M12*2/3)*(100+Instruccions!B33)/100)</f>
        <v>19.319999999999997</v>
      </c>
      <c r="J12" s="55">
        <v>285</v>
      </c>
      <c r="K12" s="39">
        <f>(ABS(G12)/Instruccions!B31*60)</f>
        <v>21.15</v>
      </c>
      <c r="L12" s="40">
        <f>(H12/Instruccions!B32*60)</f>
        <v>6</v>
      </c>
      <c r="M12" s="40">
        <f t="shared" si="1"/>
        <v>24.15</v>
      </c>
      <c r="N12" s="41">
        <f t="shared" si="4"/>
        <v>6075</v>
      </c>
    </row>
    <row r="13" spans="2:14" ht="19.5" customHeight="1">
      <c r="B13" s="15" t="str">
        <f t="shared" si="2"/>
        <v>coll nou fonts</v>
      </c>
      <c r="C13" s="16">
        <f t="shared" si="0"/>
        <v>2658</v>
      </c>
      <c r="D13" s="17" t="s">
        <v>59</v>
      </c>
      <c r="E13" s="18">
        <v>2861</v>
      </c>
      <c r="F13" s="19">
        <v>300</v>
      </c>
      <c r="G13" s="20">
        <f t="shared" si="3"/>
        <v>203</v>
      </c>
      <c r="H13" s="18">
        <v>750</v>
      </c>
      <c r="I13" s="20">
        <f>IF(G13&gt;=0,M13*(100+Instruccions!B33)/100,(M13*2/3)*(100+Instruccions!B33)/100)</f>
        <v>41.93999999999999</v>
      </c>
      <c r="J13" s="55">
        <v>300</v>
      </c>
      <c r="K13" s="39">
        <f>(ABS(G13)/Instruccions!B31*60)</f>
        <v>30.449999999999996</v>
      </c>
      <c r="L13" s="40">
        <f>(H13/Instruccions!B32*60)</f>
        <v>9</v>
      </c>
      <c r="M13" s="40">
        <f t="shared" si="1"/>
        <v>34.949999999999996</v>
      </c>
      <c r="N13" s="41">
        <f t="shared" si="4"/>
        <v>6825</v>
      </c>
    </row>
    <row r="14" spans="2:14" ht="19.5" customHeight="1">
      <c r="B14" s="15" t="str">
        <f t="shared" si="2"/>
        <v>pic nou fonts</v>
      </c>
      <c r="C14" s="16">
        <f t="shared" si="0"/>
        <v>2861</v>
      </c>
      <c r="D14" s="17" t="s">
        <v>60</v>
      </c>
      <c r="E14" s="18">
        <v>2734</v>
      </c>
      <c r="F14" s="19">
        <v>242</v>
      </c>
      <c r="G14" s="20">
        <f t="shared" si="3"/>
        <v>-127</v>
      </c>
      <c r="H14" s="18">
        <v>500</v>
      </c>
      <c r="I14" s="20">
        <f>IF(G14&gt;=0,M14*(100+Instruccions!B33)/100,(M14*2/3)*(100+Instruccions!B33)/100)</f>
        <v>17.64</v>
      </c>
      <c r="J14" s="55">
        <v>310</v>
      </c>
      <c r="K14" s="39">
        <f>(ABS(G14)/Instruccions!B31*60)</f>
        <v>19.05</v>
      </c>
      <c r="L14" s="40">
        <f>(H14/Instruccions!B32*60)</f>
        <v>6</v>
      </c>
      <c r="M14" s="40">
        <f t="shared" si="1"/>
        <v>22.05</v>
      </c>
      <c r="N14" s="41">
        <f t="shared" si="4"/>
        <v>7325</v>
      </c>
    </row>
    <row r="15" spans="2:14" ht="19.5" customHeight="1">
      <c r="B15" s="15" t="str">
        <f t="shared" si="2"/>
        <v>coll </v>
      </c>
      <c r="C15" s="16">
        <f t="shared" si="0"/>
        <v>2734</v>
      </c>
      <c r="D15" s="17" t="s">
        <v>61</v>
      </c>
      <c r="E15" s="18">
        <v>2786</v>
      </c>
      <c r="F15" s="19">
        <v>296</v>
      </c>
      <c r="G15" s="20">
        <f t="shared" si="3"/>
        <v>52</v>
      </c>
      <c r="H15" s="18">
        <v>500</v>
      </c>
      <c r="I15" s="20">
        <f>IF(G15&gt;=0,M15*(100+Instruccions!B33)/100,(M15*2/3)*(100+Instruccions!B33)/100)</f>
        <v>12.96</v>
      </c>
      <c r="J15" s="61" t="s">
        <v>74</v>
      </c>
      <c r="K15" s="39">
        <f>(ABS(G15)/Instruccions!B31*60)</f>
        <v>7.800000000000001</v>
      </c>
      <c r="L15" s="40">
        <f>(H15/Instruccions!B32*60)</f>
        <v>6</v>
      </c>
      <c r="M15" s="40">
        <f t="shared" si="1"/>
        <v>10.8</v>
      </c>
      <c r="N15" s="41">
        <f t="shared" si="4"/>
        <v>7825</v>
      </c>
    </row>
    <row r="16" spans="2:14" ht="19.5" customHeight="1">
      <c r="B16" s="15" t="str">
        <f t="shared" si="2"/>
        <v>pic eina</v>
      </c>
      <c r="C16" s="16">
        <f>IF(B16="",0,E15)</f>
        <v>2786</v>
      </c>
      <c r="D16" s="19" t="s">
        <v>62</v>
      </c>
      <c r="E16" s="18">
        <v>2684</v>
      </c>
      <c r="F16" s="19">
        <v>238</v>
      </c>
      <c r="G16" s="20">
        <f t="shared" si="3"/>
        <v>-102</v>
      </c>
      <c r="H16" s="18">
        <v>650</v>
      </c>
      <c r="I16" s="20">
        <f>IF(G16&gt;=0,M16*(100+Instruccions!B33)/100,(M16*2/3)*(100+Instruccions!B33)/100)</f>
        <v>15.360000000000003</v>
      </c>
      <c r="J16" s="55" t="s">
        <v>73</v>
      </c>
      <c r="K16" s="39">
        <f>(ABS(G16)/Instruccions!B31*60)</f>
        <v>15.3</v>
      </c>
      <c r="L16" s="40">
        <f>(H16/Instruccions!B32*60)</f>
        <v>7.800000000000001</v>
      </c>
      <c r="M16" s="40">
        <f t="shared" si="1"/>
        <v>19.200000000000003</v>
      </c>
      <c r="N16" s="41">
        <f t="shared" si="4"/>
        <v>8475</v>
      </c>
    </row>
    <row r="17" spans="2:14" ht="19.5" customHeight="1">
      <c r="B17" s="15" t="str">
        <f t="shared" si="2"/>
        <v>coll eina</v>
      </c>
      <c r="C17" s="16">
        <f aca="true" t="shared" si="5" ref="C17:C25">IF(B17="",0,E16)</f>
        <v>2684</v>
      </c>
      <c r="D17" s="19" t="s">
        <v>63</v>
      </c>
      <c r="E17" s="18">
        <v>2829</v>
      </c>
      <c r="F17" s="19">
        <v>246</v>
      </c>
      <c r="G17" s="20">
        <f t="shared" si="3"/>
        <v>145</v>
      </c>
      <c r="H17" s="18">
        <v>1500</v>
      </c>
      <c r="I17" s="20">
        <f>IF(G17&gt;=0,M17*(100+Instruccions!B33)/100,(M17*2/3)*(100+Instruccions!B33)/100)</f>
        <v>36.9</v>
      </c>
      <c r="J17" s="55">
        <v>400</v>
      </c>
      <c r="K17" s="39">
        <f>(ABS(G17)/Instruccions!B31*60)</f>
        <v>21.75</v>
      </c>
      <c r="L17" s="40">
        <f>(H17/Instruccions!B32*60)</f>
        <v>18</v>
      </c>
      <c r="M17" s="40">
        <f t="shared" si="1"/>
        <v>30.75</v>
      </c>
      <c r="N17" s="41">
        <f t="shared" si="4"/>
        <v>9975</v>
      </c>
    </row>
    <row r="18" spans="2:14" ht="19.5" customHeight="1">
      <c r="B18" s="15" t="str">
        <f t="shared" si="2"/>
        <v>pic finestrelles</v>
      </c>
      <c r="C18" s="16">
        <f t="shared" si="5"/>
        <v>2829</v>
      </c>
      <c r="D18" s="19" t="s">
        <v>64</v>
      </c>
      <c r="E18" s="18">
        <v>2604</v>
      </c>
      <c r="F18" s="19">
        <v>228</v>
      </c>
      <c r="G18" s="20">
        <f t="shared" si="3"/>
        <v>-225</v>
      </c>
      <c r="H18" s="18">
        <v>1050</v>
      </c>
      <c r="I18" s="20">
        <f>IF(G18&gt;=0,M18*(100+Instruccions!B33)/100,(M18*2/3)*(100+Instruccions!B33)/100)</f>
        <v>32.04</v>
      </c>
      <c r="J18" s="55">
        <v>435</v>
      </c>
      <c r="K18" s="39">
        <f>(ABS(G18)/Instruccions!B31*60)</f>
        <v>33.75</v>
      </c>
      <c r="L18" s="40">
        <f>(H18/Instruccions!B32*60)</f>
        <v>12.6</v>
      </c>
      <c r="M18" s="40">
        <f t="shared" si="1"/>
        <v>40.05</v>
      </c>
      <c r="N18" s="41">
        <f t="shared" si="4"/>
        <v>11025</v>
      </c>
    </row>
    <row r="19" spans="2:14" ht="19.5" customHeight="1">
      <c r="B19" s="15" t="str">
        <f t="shared" si="2"/>
        <v>coll finestrelles</v>
      </c>
      <c r="C19" s="16">
        <f t="shared" si="5"/>
        <v>2604</v>
      </c>
      <c r="D19" s="19" t="s">
        <v>65</v>
      </c>
      <c r="E19" s="18">
        <v>2848</v>
      </c>
      <c r="F19" s="19">
        <v>194</v>
      </c>
      <c r="G19" s="20">
        <f t="shared" si="3"/>
        <v>244</v>
      </c>
      <c r="H19" s="18">
        <v>1250</v>
      </c>
      <c r="I19" s="20">
        <f>IF(G19&gt;=0,M19*(100+Instruccions!B33)/100,(M19*2/3)*(100+Instruccions!B33)/100)</f>
        <v>52.92</v>
      </c>
      <c r="J19" s="55"/>
      <c r="K19" s="39">
        <f>(ABS(G19)/Instruccions!B31*60)</f>
        <v>36.6</v>
      </c>
      <c r="L19" s="40">
        <f>(H19/Instruccions!B32*60)</f>
        <v>15</v>
      </c>
      <c r="M19" s="40">
        <f t="shared" si="1"/>
        <v>44.1</v>
      </c>
      <c r="N19" s="41">
        <f t="shared" si="4"/>
        <v>12275</v>
      </c>
    </row>
    <row r="20" spans="2:14" ht="19.5" customHeight="1">
      <c r="B20" s="15" t="str">
        <f t="shared" si="2"/>
        <v>pic del segre </v>
      </c>
      <c r="C20" s="16">
        <f t="shared" si="5"/>
        <v>2848</v>
      </c>
      <c r="D20" s="19" t="s">
        <v>66</v>
      </c>
      <c r="E20" s="18">
        <v>2812</v>
      </c>
      <c r="F20" s="19">
        <v>218</v>
      </c>
      <c r="G20" s="20">
        <f t="shared" si="3"/>
        <v>-36</v>
      </c>
      <c r="H20" s="18">
        <v>850</v>
      </c>
      <c r="I20" s="20">
        <f>IF(G20&gt;=0,M20*(100+Instruccions!B33)/100,(M20*2/3)*(100+Instruccions!B33)/100)</f>
        <v>10.32</v>
      </c>
      <c r="J20" s="55">
        <v>455</v>
      </c>
      <c r="K20" s="39">
        <f>(ABS(G20)/Instruccions!B31*60)</f>
        <v>5.3999999999999995</v>
      </c>
      <c r="L20" s="40">
        <f>(H20/Instruccions!B32*60)</f>
        <v>10.200000000000001</v>
      </c>
      <c r="M20" s="40">
        <f t="shared" si="1"/>
        <v>12.9</v>
      </c>
      <c r="N20" s="41">
        <f t="shared" si="4"/>
        <v>13125</v>
      </c>
    </row>
    <row r="21" spans="2:14" ht="19.5" customHeight="1">
      <c r="B21" s="15" t="str">
        <f t="shared" si="2"/>
        <v>puigmal petit</v>
      </c>
      <c r="C21" s="16">
        <f t="shared" si="5"/>
        <v>2812</v>
      </c>
      <c r="D21" s="19" t="s">
        <v>67</v>
      </c>
      <c r="E21" s="18">
        <v>2760</v>
      </c>
      <c r="F21" s="19">
        <v>182</v>
      </c>
      <c r="G21" s="20">
        <f t="shared" si="3"/>
        <v>-52</v>
      </c>
      <c r="H21" s="18">
        <v>250</v>
      </c>
      <c r="I21" s="20">
        <f>IF(G21&gt;=0,M21*(100+Instruccions!B33)/100,(M21*2/3)*(100+Instruccions!B33)/100)</f>
        <v>7.44</v>
      </c>
      <c r="J21" s="55">
        <v>466</v>
      </c>
      <c r="K21" s="39">
        <f>(ABS(G21)/Instruccions!B31*60)</f>
        <v>7.800000000000001</v>
      </c>
      <c r="L21" s="40">
        <f>(H21/Instruccions!B32*60)</f>
        <v>3</v>
      </c>
      <c r="M21" s="40">
        <f t="shared" si="1"/>
        <v>9.3</v>
      </c>
      <c r="N21" s="41">
        <f t="shared" si="4"/>
        <v>13375</v>
      </c>
    </row>
    <row r="22" spans="2:14" ht="19.5" customHeight="1">
      <c r="B22" s="15" t="str">
        <f t="shared" si="2"/>
        <v>collada d'er</v>
      </c>
      <c r="C22" s="16">
        <f t="shared" si="5"/>
        <v>2760</v>
      </c>
      <c r="D22" s="19" t="s">
        <v>68</v>
      </c>
      <c r="E22" s="18">
        <v>2910</v>
      </c>
      <c r="F22" s="19">
        <v>166</v>
      </c>
      <c r="G22" s="20">
        <f t="shared" si="3"/>
        <v>150</v>
      </c>
      <c r="H22" s="18">
        <v>625</v>
      </c>
      <c r="I22" s="20">
        <f>IF(G22&gt;=0,M22*(100+Instruccions!B33)/100,(M22*2/3)*(100+Instruccions!B33)/100)</f>
        <v>31.5</v>
      </c>
      <c r="J22" s="55">
        <v>495</v>
      </c>
      <c r="K22" s="39">
        <f>(ABS(G22)/Instruccions!B31*60)</f>
        <v>22.5</v>
      </c>
      <c r="L22" s="40">
        <f>(H22/Instruccions!B32*60)</f>
        <v>7.5</v>
      </c>
      <c r="M22" s="40">
        <f t="shared" si="1"/>
        <v>26.25</v>
      </c>
      <c r="N22" s="41">
        <f t="shared" si="4"/>
        <v>14000</v>
      </c>
    </row>
    <row r="23" spans="2:14" ht="19.5" customHeight="1">
      <c r="B23" s="15" t="str">
        <f t="shared" si="2"/>
        <v>puigmal</v>
      </c>
      <c r="C23" s="16">
        <f t="shared" si="5"/>
        <v>2910</v>
      </c>
      <c r="D23" s="19" t="s">
        <v>69</v>
      </c>
      <c r="E23" s="18">
        <v>1960</v>
      </c>
      <c r="F23" s="19">
        <v>64</v>
      </c>
      <c r="G23" s="20">
        <f t="shared" si="3"/>
        <v>-950</v>
      </c>
      <c r="H23" s="18">
        <v>3750</v>
      </c>
      <c r="I23" s="20">
        <f>IF(G23&gt;=0,M23*(100+Instruccions!B33)/100,(M23*2/3)*(100+Instruccions!B33)/100)</f>
        <v>132</v>
      </c>
      <c r="J23" s="55">
        <v>600</v>
      </c>
      <c r="K23" s="39">
        <f>(ABS(G23)/Instruccions!B31*60)</f>
        <v>142.5</v>
      </c>
      <c r="L23" s="40">
        <f>(H23/Instruccions!B32*60)</f>
        <v>45</v>
      </c>
      <c r="M23" s="40">
        <f t="shared" si="1"/>
        <v>165</v>
      </c>
      <c r="N23" s="41">
        <f t="shared" si="4"/>
        <v>17750</v>
      </c>
    </row>
    <row r="24" spans="2:14" ht="19.5" customHeight="1">
      <c r="B24" s="15">
        <f t="shared" si="2"/>
      </c>
      <c r="C24" s="16">
        <f t="shared" si="5"/>
        <v>0</v>
      </c>
      <c r="D24" s="19"/>
      <c r="E24" s="18"/>
      <c r="F24" s="19"/>
      <c r="G24" s="20">
        <f t="shared" si="3"/>
        <v>0</v>
      </c>
      <c r="H24" s="18">
        <v>0</v>
      </c>
      <c r="I24" s="20">
        <f>IF(G24&gt;=0,M24*(100+Instruccions!B33)/100,(M24*2/3)*(100+Instruccions!B33)/100)</f>
        <v>0</v>
      </c>
      <c r="J24" s="55"/>
      <c r="K24" s="39">
        <f>(ABS(G24)/Instruccions!B31*60)</f>
        <v>0</v>
      </c>
      <c r="L24" s="40">
        <f>(H24/Instruccions!B32*60)</f>
        <v>0</v>
      </c>
      <c r="M24" s="40">
        <f t="shared" si="1"/>
        <v>0</v>
      </c>
      <c r="N24" s="41" t="e">
        <f t="shared" si="4"/>
        <v>#N/A</v>
      </c>
    </row>
    <row r="25" spans="2:14" ht="19.5" customHeight="1" thickBot="1">
      <c r="B25" s="21">
        <f t="shared" si="2"/>
      </c>
      <c r="C25" s="22">
        <f t="shared" si="5"/>
        <v>0</v>
      </c>
      <c r="D25" s="23"/>
      <c r="E25" s="23"/>
      <c r="F25" s="24"/>
      <c r="G25" s="25">
        <f t="shared" si="3"/>
        <v>0</v>
      </c>
      <c r="H25" s="23">
        <v>0</v>
      </c>
      <c r="I25" s="25">
        <f>IF(G25&gt;=0,M25*(100+Instruccions!B33)/100,(M25*2/3)*(100+Instruccions!B33)/100)</f>
        <v>0</v>
      </c>
      <c r="J25" s="56"/>
      <c r="K25" s="44">
        <f>(ABS(G25)/Instruccions!B31*60)</f>
        <v>0</v>
      </c>
      <c r="L25" s="42">
        <f>(H25/Instruccions!B32*60)</f>
        <v>0</v>
      </c>
      <c r="M25" s="42">
        <f t="shared" si="1"/>
        <v>0</v>
      </c>
      <c r="N25" s="43" t="e">
        <f t="shared" si="4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17750</v>
      </c>
      <c r="D27" s="30"/>
    </row>
    <row r="28" spans="1:4" ht="19.5" customHeight="1">
      <c r="A28" s="1" t="s">
        <v>70</v>
      </c>
      <c r="B28" s="8" t="s">
        <v>17</v>
      </c>
      <c r="C28" s="6">
        <f>SUM(I6:I26)</f>
        <v>606.54</v>
      </c>
      <c r="D28" s="31">
        <f>C28/60</f>
        <v>10.109</v>
      </c>
    </row>
    <row r="29" spans="2:4" ht="19.5" customHeight="1">
      <c r="B29" s="8" t="s">
        <v>18</v>
      </c>
      <c r="C29" s="6">
        <f>SUMIF(G6:G26,"&gt;0",G6:G26)</f>
        <v>1659</v>
      </c>
      <c r="D29" s="32"/>
    </row>
    <row r="30" spans="2:4" ht="19.5" customHeight="1" thickBot="1">
      <c r="B30" s="9" t="s">
        <v>19</v>
      </c>
      <c r="C30" s="7">
        <f>SUMIF(G6:G26,"&lt;0",G6:G26)</f>
        <v>-1659</v>
      </c>
      <c r="D30" s="33"/>
    </row>
    <row r="31" ht="19.5" customHeight="1" thickTop="1"/>
    <row r="32" ht="19.5" customHeight="1"/>
  </sheetData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7" customWidth="1"/>
    <col min="2" max="2" width="22.7109375" style="47" customWidth="1"/>
    <col min="3" max="3" width="24.28125" style="47" customWidth="1"/>
    <col min="4" max="16384" width="11.421875" style="47" customWidth="1"/>
  </cols>
  <sheetData>
    <row r="3" ht="18.75">
      <c r="A3" s="46" t="s">
        <v>26</v>
      </c>
    </row>
    <row r="5" spans="1:7" ht="15">
      <c r="A5" s="47" t="s">
        <v>29</v>
      </c>
      <c r="G5" s="48"/>
    </row>
    <row r="7" ht="15">
      <c r="A7" s="48" t="s">
        <v>31</v>
      </c>
    </row>
    <row r="9" ht="13.5">
      <c r="A9" s="47" t="s">
        <v>27</v>
      </c>
    </row>
    <row r="10" spans="1:3" ht="13.5">
      <c r="A10" s="47" t="s">
        <v>28</v>
      </c>
      <c r="C10" s="49"/>
    </row>
    <row r="11" ht="13.5">
      <c r="A11" s="47" t="s">
        <v>30</v>
      </c>
    </row>
    <row r="12" ht="13.5">
      <c r="A12" s="47" t="s">
        <v>36</v>
      </c>
    </row>
    <row r="14" ht="13.5">
      <c r="A14" s="50" t="s">
        <v>39</v>
      </c>
    </row>
    <row r="16" ht="13.5">
      <c r="A16" s="47" t="s">
        <v>41</v>
      </c>
    </row>
    <row r="17" ht="13.5">
      <c r="A17" s="47" t="s">
        <v>44</v>
      </c>
    </row>
    <row r="18" ht="13.5">
      <c r="A18" s="47" t="s">
        <v>42</v>
      </c>
    </row>
    <row r="19" ht="13.5">
      <c r="A19" s="47" t="s">
        <v>43</v>
      </c>
    </row>
    <row r="20" ht="13.5">
      <c r="A20" s="47" t="s">
        <v>45</v>
      </c>
    </row>
    <row r="21" ht="13.5">
      <c r="A21" s="47" t="s">
        <v>46</v>
      </c>
    </row>
    <row r="22" ht="13.5">
      <c r="A22" s="47" t="s">
        <v>47</v>
      </c>
    </row>
    <row r="23" ht="13.5">
      <c r="A23" s="47" t="s">
        <v>49</v>
      </c>
    </row>
    <row r="24" ht="13.5">
      <c r="A24" s="47" t="s">
        <v>48</v>
      </c>
    </row>
    <row r="26" ht="13.5">
      <c r="A26" s="47" t="s">
        <v>40</v>
      </c>
    </row>
    <row r="28" ht="13.5">
      <c r="A28" s="50" t="s">
        <v>37</v>
      </c>
    </row>
    <row r="29" ht="15">
      <c r="A29" s="48"/>
    </row>
    <row r="30" spans="1:3" ht="13.5">
      <c r="A30" s="51"/>
      <c r="B30" s="51" t="s">
        <v>24</v>
      </c>
      <c r="C30" s="51" t="s">
        <v>25</v>
      </c>
    </row>
    <row r="31" spans="1:3" ht="13.5">
      <c r="A31" s="51" t="s">
        <v>8</v>
      </c>
      <c r="B31" s="53">
        <v>400</v>
      </c>
      <c r="C31" s="49">
        <v>300</v>
      </c>
    </row>
    <row r="32" spans="1:3" ht="13.5">
      <c r="A32" s="51" t="s">
        <v>9</v>
      </c>
      <c r="B32" s="53">
        <v>5000</v>
      </c>
      <c r="C32" s="49">
        <v>4000</v>
      </c>
    </row>
    <row r="33" spans="1:3" ht="13.5">
      <c r="A33" s="51" t="s">
        <v>10</v>
      </c>
      <c r="B33" s="53">
        <v>20</v>
      </c>
      <c r="C33" s="49">
        <v>30</v>
      </c>
    </row>
    <row r="35" spans="1:6" ht="15">
      <c r="A35" s="50" t="s">
        <v>38</v>
      </c>
      <c r="F35" s="52"/>
    </row>
    <row r="36" spans="1:6" ht="15">
      <c r="A36" s="50"/>
      <c r="F36" s="52"/>
    </row>
    <row r="37" spans="1:6" ht="15">
      <c r="A37" s="47" t="s">
        <v>12</v>
      </c>
      <c r="F37" s="52"/>
    </row>
    <row r="38" spans="1:6" ht="15">
      <c r="A38" s="47" t="s">
        <v>13</v>
      </c>
      <c r="F38" s="52"/>
    </row>
    <row r="39" spans="1:6" ht="15">
      <c r="A39" s="47" t="s">
        <v>14</v>
      </c>
      <c r="F39" s="52"/>
    </row>
    <row r="40" ht="13.5">
      <c r="A40" s="47" t="s">
        <v>15</v>
      </c>
    </row>
    <row r="42" ht="15">
      <c r="A42" s="48" t="s">
        <v>32</v>
      </c>
    </row>
    <row r="44" ht="13.5">
      <c r="A44" s="47" t="s">
        <v>33</v>
      </c>
    </row>
    <row r="45" ht="13.5">
      <c r="A45" s="47" t="s">
        <v>34</v>
      </c>
    </row>
    <row r="46" ht="13.5">
      <c r="A46" s="47" t="s">
        <v>35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2004-06-15T20:02:19Z</cp:lastPrinted>
  <dcterms:created xsi:type="dcterms:W3CDTF">2004-05-05T18:52:05Z</dcterms:created>
  <dcterms:modified xsi:type="dcterms:W3CDTF">2005-08-23T14:11:09Z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